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showHorizontalScroll="0" showSheetTabs="0" xWindow="0" yWindow="0" windowWidth="11550" windowHeight="7065"/>
  </bookViews>
  <sheets>
    <sheet name="Piper Archer N2180Y" sheetId="2" r:id="rId1"/>
  </sheets>
  <definedNames>
    <definedName name="FuelArm">'Piper Archer N2180Y'!$E$16</definedName>
    <definedName name="FuelConsumption">'Piper Archer N2180Y'!$M$8</definedName>
    <definedName name="MaxLandingCG">'Piper Archer N2180Y'!$M$17</definedName>
    <definedName name="MaxTripFuelAvail">'Piper Archer N2180Y'!$M$15</definedName>
    <definedName name="MaxTripFuelUsed">'Piper Archer N2180Y'!$M$14</definedName>
    <definedName name="MaxTripLandingWt">'Piper Archer N2180Y'!$M$16</definedName>
    <definedName name="MaxTripLandingWtDelta">'Piper Archer N2180Y'!$M$19</definedName>
    <definedName name="MaxTripLength">'Piper Archer N2180Y'!$M$10</definedName>
    <definedName name="MaxWeight">'Piper Archer N2180Y'!$AB$19</definedName>
    <definedName name="MaxWtAfterMaxTrip">'Piper Archer N2180Y'!$M$18</definedName>
    <definedName name="MaxWtAfterTrip">'Piper Archer N2180Y'!$L$18</definedName>
    <definedName name="MaxWtAtTO">'Piper Archer N2180Y'!$K$18</definedName>
    <definedName name="MinCG">'Piper Archer N2180Y'!$AB$18</definedName>
    <definedName name="_xlnm.Print_Area" localSheetId="0">'Piper Archer N2180Y'!$A$4:$M$53</definedName>
    <definedName name="Slope">'Piper Archer N2180Y'!$AB$21</definedName>
    <definedName name="SlopeEndCG">'Piper Archer N2180Y'!$AA$12</definedName>
    <definedName name="SlopeEndWt">'Piper Archer N2180Y'!$AB$12</definedName>
    <definedName name="SlopeStartCG">'Piper Archer N2180Y'!$AA$11</definedName>
    <definedName name="SlopeStartWt">'Piper Archer N2180Y'!$AB$11</definedName>
    <definedName name="TakeoffCG">'Piper Archer N2180Y'!$K$17</definedName>
    <definedName name="TakeoffMoment">'Piper Archer N2180Y'!$F$17</definedName>
    <definedName name="TakeoffWt">'Piper Archer N2180Y'!$D$17</definedName>
    <definedName name="TakeoffWtDelta">'Piper Archer N2180Y'!$K$19</definedName>
    <definedName name="TotalBaggageWeight">#REF!</definedName>
    <definedName name="TotalBaggageWeight182">#REF!</definedName>
    <definedName name="TripFuelAvail">'Piper Archer N2180Y'!$L$15</definedName>
    <definedName name="TripFuelUsed">'Piper Archer N2180Y'!$L$14</definedName>
    <definedName name="TripLandingCG">'Piper Archer N2180Y'!$L$17</definedName>
    <definedName name="TripLandingWt">'Piper Archer N2180Y'!$L$16</definedName>
    <definedName name="TripLandingWtDelta">'Piper Archer N2180Y'!$L$19</definedName>
    <definedName name="TripLength">'Piper Archer N2180Y'!$M$9</definedName>
    <definedName name="UsableFuel">'Piper Archer N2180Y'!$C$16</definedName>
    <definedName name="YIntercept">'Piper Archer N2180Y'!$AB$22</definedName>
  </definedNames>
  <calcPr calcId="152511"/>
</workbook>
</file>

<file path=xl/calcChain.xml><?xml version="1.0" encoding="utf-8"?>
<calcChain xmlns="http://schemas.openxmlformats.org/spreadsheetml/2006/main">
  <c r="K15" i="2" l="1"/>
  <c r="M10" i="2"/>
  <c r="D16" i="2"/>
  <c r="F16" i="2" s="1"/>
  <c r="L14" i="2"/>
  <c r="L15" i="2" s="1"/>
  <c r="F11" i="2"/>
  <c r="F12" i="2"/>
  <c r="F13" i="2"/>
  <c r="F14" i="2"/>
  <c r="F15" i="2"/>
  <c r="AB19" i="2"/>
  <c r="AB21" i="2"/>
  <c r="AB22" i="2" s="1"/>
  <c r="AB18" i="2"/>
  <c r="D17" i="2" l="1"/>
  <c r="L16" i="2" s="1"/>
  <c r="F17" i="2"/>
  <c r="M17" i="2" s="1"/>
  <c r="M18" i="2" s="1"/>
  <c r="M19" i="2" s="1"/>
  <c r="M14" i="2"/>
  <c r="M15" i="2" s="1"/>
  <c r="M16" i="2" l="1"/>
  <c r="K17" i="2"/>
  <c r="K18" i="2" s="1"/>
  <c r="K19" i="2" s="1"/>
  <c r="K20" i="2" s="1"/>
  <c r="L17" i="2"/>
  <c r="L18" i="2" s="1"/>
  <c r="L19" i="2" s="1"/>
  <c r="L20" i="2" s="1"/>
  <c r="M22" i="2"/>
  <c r="M20" i="2"/>
  <c r="K22" i="2" l="1"/>
  <c r="L22" i="2"/>
</calcChain>
</file>

<file path=xl/sharedStrings.xml><?xml version="1.0" encoding="utf-8"?>
<sst xmlns="http://schemas.openxmlformats.org/spreadsheetml/2006/main" count="42" uniqueCount="42">
  <si>
    <t>Aircraft Empty Weight</t>
  </si>
  <si>
    <t>Weight of Pilot</t>
  </si>
  <si>
    <t>Weight of Co-pilot</t>
  </si>
  <si>
    <t>Weight of Rear Passenger 1</t>
  </si>
  <si>
    <t>Weight of Rear Passenger 2</t>
  </si>
  <si>
    <t xml:space="preserve"> </t>
  </si>
  <si>
    <t xml:space="preserve">OK for Weight?  </t>
  </si>
  <si>
    <t>Baggage (200 pounds max.)</t>
  </si>
  <si>
    <t>Usable Fuel (48 gallons max.)</t>
  </si>
  <si>
    <r>
      <t xml:space="preserve">MOMENT </t>
    </r>
    <r>
      <rPr>
        <b/>
        <sz val="7"/>
        <rFont val="Arial"/>
        <family val="2"/>
      </rPr>
      <t>(pound-inches)</t>
    </r>
  </si>
  <si>
    <r>
      <t xml:space="preserve">ARM </t>
    </r>
    <r>
      <rPr>
        <b/>
        <sz val="7"/>
        <rFont val="Arial"/>
        <family val="2"/>
      </rPr>
      <t>(inches)</t>
    </r>
  </si>
  <si>
    <r>
      <t xml:space="preserve">WEIGHT </t>
    </r>
    <r>
      <rPr>
        <b/>
        <sz val="7"/>
        <rFont val="Arial"/>
        <family val="2"/>
      </rPr>
      <t>(pounds)</t>
    </r>
  </si>
  <si>
    <t>m</t>
  </si>
  <si>
    <t>b</t>
  </si>
  <si>
    <t>Min CG</t>
  </si>
  <si>
    <t>Max Weight</t>
  </si>
  <si>
    <t>Normal
Category</t>
  </si>
  <si>
    <t>Utility
Category</t>
  </si>
  <si>
    <t>Slope
y=mx+b</t>
  </si>
  <si>
    <t>CG</t>
  </si>
  <si>
    <t>Weight</t>
  </si>
  <si>
    <t>Takeoff</t>
  </si>
  <si>
    <t>Max Wt@CG (lb):</t>
  </si>
  <si>
    <t>Weight Limit Delta (lb):</t>
  </si>
  <si>
    <t>Equivalent Fuel Load (lb):</t>
  </si>
  <si>
    <t>Landing
(Trip)</t>
  </si>
  <si>
    <t>CG (inches):</t>
  </si>
  <si>
    <t>Takeoff Numbers</t>
  </si>
  <si>
    <t>Fuel Used (gal):</t>
  </si>
  <si>
    <t>Fuel Available (gal):</t>
  </si>
  <si>
    <t>Landing Weight (pounds):</t>
  </si>
  <si>
    <t>Landing
(Max Distance)</t>
  </si>
  <si>
    <t>Estimated Trip</t>
  </si>
  <si>
    <t>Planned Fuel Consumption (gal/hr)</t>
  </si>
  <si>
    <t>Planned Trip Length (hrs)</t>
  </si>
  <si>
    <t>N/A</t>
  </si>
  <si>
    <t>Maximum Flight Time (hrs w/45 min. reserve)</t>
  </si>
  <si>
    <t>Piper Archer III N52326</t>
  </si>
  <si>
    <t>Last Updated From Aircraft Logs xxxxxxxx</t>
  </si>
  <si>
    <r>
      <rPr>
        <b/>
        <sz val="10"/>
        <color rgb="FFFF0000"/>
        <rFont val="Arial"/>
        <family val="2"/>
      </rPr>
      <t>*Disclaimer*</t>
    </r>
    <r>
      <rPr>
        <sz val="10"/>
        <color rgb="FFFF0000"/>
        <rFont val="Arial"/>
        <family val="2"/>
      </rPr>
      <t xml:space="preserve"> </t>
    </r>
  </si>
  <si>
    <t>Total</t>
  </si>
  <si>
    <t>This calculator should be used for reference purposes only.  Please refer to the aircrafts current POH for all weight and balance calculations pertaining to your flight.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</si>
</sst>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#,##0.0"/>
    <numFmt numFmtId="166" formatCode="0;\-0;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3" fillId="2" borderId="8" xfId="0" applyFont="1" applyFill="1" applyBorder="1" applyProtection="1"/>
    <xf numFmtId="0" fontId="3" fillId="2" borderId="0" xfId="0" applyFont="1" applyFill="1" applyProtection="1"/>
    <xf numFmtId="2" fontId="3" fillId="2" borderId="0" xfId="0" applyNumberFormat="1" applyFont="1" applyFill="1" applyProtection="1"/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2" fontId="4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Alignment="1" applyProtection="1">
      <alignment horizontal="right"/>
    </xf>
    <xf numFmtId="1" fontId="3" fillId="2" borderId="0" xfId="0" applyNumberFormat="1" applyFont="1" applyFill="1" applyProtection="1"/>
    <xf numFmtId="0" fontId="9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2" fontId="0" fillId="2" borderId="0" xfId="0" applyNumberFormat="1" applyFill="1" applyProtection="1"/>
    <xf numFmtId="0" fontId="0" fillId="2" borderId="0" xfId="0" applyFill="1" applyAlignment="1" applyProtection="1">
      <alignment horizontal="center" vertical="center"/>
    </xf>
    <xf numFmtId="2" fontId="0" fillId="2" borderId="0" xfId="0" applyNumberFormat="1" applyFill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</xf>
    <xf numFmtId="2" fontId="3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3" fontId="8" fillId="0" borderId="12" xfId="0" applyNumberFormat="1" applyFont="1" applyFill="1" applyBorder="1" applyProtection="1"/>
    <xf numFmtId="0" fontId="8" fillId="0" borderId="13" xfId="0" applyFont="1" applyFill="1" applyBorder="1" applyProtection="1"/>
    <xf numFmtId="0" fontId="12" fillId="2" borderId="0" xfId="0" applyFont="1" applyFill="1" applyProtection="1"/>
    <xf numFmtId="2" fontId="8" fillId="0" borderId="0" xfId="0" applyNumberFormat="1" applyFont="1" applyFill="1" applyBorder="1" applyAlignment="1" applyProtection="1">
      <alignment horizontal="center" vertical="center"/>
    </xf>
    <xf numFmtId="1" fontId="0" fillId="2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0" fillId="0" borderId="0" xfId="0" applyAlignment="1" applyProtection="1"/>
    <xf numFmtId="165" fontId="3" fillId="3" borderId="14" xfId="0" applyNumberFormat="1" applyFont="1" applyFill="1" applyBorder="1" applyProtection="1"/>
    <xf numFmtId="0" fontId="3" fillId="3" borderId="3" xfId="0" applyFont="1" applyFill="1" applyBorder="1" applyProtection="1"/>
    <xf numFmtId="3" fontId="3" fillId="3" borderId="4" xfId="0" applyNumberFormat="1" applyFont="1" applyFill="1" applyBorder="1" applyProtection="1"/>
    <xf numFmtId="0" fontId="3" fillId="3" borderId="7" xfId="0" applyFont="1" applyFill="1" applyBorder="1" applyProtection="1"/>
    <xf numFmtId="166" fontId="3" fillId="3" borderId="18" xfId="0" applyNumberFormat="1" applyFont="1" applyFill="1" applyBorder="1" applyProtection="1"/>
    <xf numFmtId="0" fontId="3" fillId="3" borderId="10" xfId="0" applyFont="1" applyFill="1" applyBorder="1" applyProtection="1"/>
    <xf numFmtId="3" fontId="4" fillId="3" borderId="9" xfId="0" applyNumberFormat="1" applyFont="1" applyFill="1" applyBorder="1" applyProtection="1"/>
    <xf numFmtId="166" fontId="3" fillId="3" borderId="17" xfId="0" applyNumberFormat="1" applyFont="1" applyFill="1" applyBorder="1" applyProtection="1"/>
    <xf numFmtId="165" fontId="4" fillId="3" borderId="15" xfId="0" applyNumberFormat="1" applyFont="1" applyFill="1" applyBorder="1" applyProtection="1"/>
    <xf numFmtId="166" fontId="3" fillId="4" borderId="19" xfId="0" applyNumberFormat="1" applyFont="1" applyFill="1" applyBorder="1" applyProtection="1">
      <protection locked="0"/>
    </xf>
    <xf numFmtId="166" fontId="3" fillId="4" borderId="14" xfId="0" applyNumberFormat="1" applyFont="1" applyFill="1" applyBorder="1" applyProtection="1">
      <protection locked="0"/>
    </xf>
    <xf numFmtId="166" fontId="3" fillId="4" borderId="16" xfId="0" applyNumberFormat="1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13" fillId="2" borderId="0" xfId="0" applyFont="1" applyFill="1" applyProtection="1"/>
    <xf numFmtId="0" fontId="14" fillId="2" borderId="0" xfId="0" applyFont="1" applyFill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2" borderId="0" xfId="0" applyFill="1" applyAlignment="1" applyProtection="1">
      <alignment horizontal="right" vertical="center"/>
    </xf>
    <xf numFmtId="0" fontId="0" fillId="0" borderId="0" xfId="0" applyAlignment="1" applyProtection="1"/>
    <xf numFmtId="0" fontId="2" fillId="2" borderId="0" xfId="0" applyFont="1" applyFill="1" applyAlignment="1" applyProtection="1"/>
    <xf numFmtId="0" fontId="0" fillId="0" borderId="0" xfId="0" applyAlignment="1"/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7" fillId="2" borderId="0" xfId="0" applyFont="1" applyFill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/>
    <xf numFmtId="0" fontId="6" fillId="2" borderId="22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right"/>
    </xf>
    <xf numFmtId="0" fontId="4" fillId="2" borderId="21" xfId="0" applyFont="1" applyFill="1" applyBorder="1" applyAlignment="1" applyProtection="1">
      <alignment horizontal="right"/>
    </xf>
    <xf numFmtId="0" fontId="4" fillId="2" borderId="22" xfId="0" applyFont="1" applyFill="1" applyBorder="1" applyAlignment="1" applyProtection="1">
      <alignment horizontal="right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94117647058823"/>
          <c:y val="0.11695928697476352"/>
          <c:w val="0.65096926453607007"/>
          <c:h val="0.77777925838217743"/>
        </c:manualLayout>
      </c:layout>
      <c:scatterChart>
        <c:scatterStyle val="lineMarker"/>
        <c:varyColors val="0"/>
        <c:ser>
          <c:idx val="0"/>
          <c:order val="0"/>
          <c:tx>
            <c:v>Takeoff CG</c:v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'Piper Archer N2180Y'!$K$17</c:f>
              <c:numCache>
                <c:formatCode>0.00</c:formatCode>
                <c:ptCount val="1"/>
                <c:pt idx="0">
                  <c:v>89.266984266784092</c:v>
                </c:pt>
              </c:numCache>
            </c:numRef>
          </c:xVal>
          <c:yVal>
            <c:numRef>
              <c:f>'Piper Archer N2180Y'!$D$17</c:f>
              <c:numCache>
                <c:formatCode>#,##0.0</c:formatCode>
                <c:ptCount val="1"/>
                <c:pt idx="0">
                  <c:v>2497.9</c:v>
                </c:pt>
              </c:numCache>
            </c:numRef>
          </c:yVal>
          <c:smooth val="0"/>
        </c:ser>
        <c:ser>
          <c:idx val="3"/>
          <c:order val="1"/>
          <c:tx>
            <c:v>Trip Landing CG</c:v>
          </c:tx>
          <c:spPr>
            <a:ln w="19050">
              <a:noFill/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'Piper Archer N2180Y'!$L$17</c:f>
              <c:numCache>
                <c:formatCode>0.00</c:formatCode>
                <c:ptCount val="1"/>
                <c:pt idx="0">
                  <c:v>88.976656151419562</c:v>
                </c:pt>
              </c:numCache>
            </c:numRef>
          </c:xVal>
          <c:yVal>
            <c:numRef>
              <c:f>'Piper Archer N2180Y'!$L$16</c:f>
              <c:numCache>
                <c:formatCode>0</c:formatCode>
                <c:ptCount val="1"/>
                <c:pt idx="0">
                  <c:v>2377.5</c:v>
                </c:pt>
              </c:numCache>
            </c:numRef>
          </c:yVal>
          <c:smooth val="0"/>
        </c:ser>
        <c:ser>
          <c:idx val="4"/>
          <c:order val="2"/>
          <c:tx>
            <c:v>Max Distance CG</c:v>
          </c:tx>
          <c:spPr>
            <a:ln w="19050">
              <a:noFill/>
            </a:ln>
          </c:spPr>
          <c:marker>
            <c:symbol val="plus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'Piper Archer N2180Y'!$M$17</c:f>
              <c:numCache>
                <c:formatCode>0.00</c:formatCode>
                <c:ptCount val="1"/>
                <c:pt idx="0">
                  <c:v>88.646881890252814</c:v>
                </c:pt>
              </c:numCache>
            </c:numRef>
          </c:xVal>
          <c:yVal>
            <c:numRef>
              <c:f>'Piper Archer N2180Y'!$M$16</c:f>
              <c:numCache>
                <c:formatCode>0</c:formatCode>
                <c:ptCount val="1"/>
                <c:pt idx="0">
                  <c:v>2254.09</c:v>
                </c:pt>
              </c:numCache>
            </c:numRef>
          </c:yVal>
          <c:smooth val="0"/>
        </c:ser>
        <c:ser>
          <c:idx val="1"/>
          <c:order val="3"/>
          <c:tx>
            <c:v>  Normal Category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'Piper Archer N2180Y'!$AA$10:$AA$14</c:f>
              <c:numCache>
                <c:formatCode>General</c:formatCode>
                <c:ptCount val="5"/>
                <c:pt idx="0">
                  <c:v>82</c:v>
                </c:pt>
                <c:pt idx="1">
                  <c:v>82</c:v>
                </c:pt>
                <c:pt idx="2">
                  <c:v>88.3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'Piper Archer N2180Y'!$AB$10:$AB$14</c:f>
              <c:numCache>
                <c:formatCode>General</c:formatCode>
                <c:ptCount val="5"/>
                <c:pt idx="0">
                  <c:v>1200</c:v>
                </c:pt>
                <c:pt idx="1">
                  <c:v>2050</c:v>
                </c:pt>
                <c:pt idx="2">
                  <c:v>2550</c:v>
                </c:pt>
                <c:pt idx="3">
                  <c:v>2550</c:v>
                </c:pt>
                <c:pt idx="4">
                  <c:v>1200</c:v>
                </c:pt>
              </c:numCache>
            </c:numRef>
          </c:yVal>
          <c:smooth val="0"/>
        </c:ser>
        <c:ser>
          <c:idx val="2"/>
          <c:order val="4"/>
          <c:tx>
            <c:v>  Utility Category</c:v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'Piper Archer N2180Y'!$AA$15:$AA$16</c:f>
              <c:numCache>
                <c:formatCode>General</c:formatCode>
                <c:ptCount val="2"/>
                <c:pt idx="0">
                  <c:v>83.1</c:v>
                </c:pt>
                <c:pt idx="1">
                  <c:v>93</c:v>
                </c:pt>
              </c:numCache>
            </c:numRef>
          </c:xVal>
          <c:yVal>
            <c:numRef>
              <c:f>'Piper Archer N2180Y'!$AB$15:$AB$16</c:f>
              <c:numCache>
                <c:formatCode>General</c:formatCode>
                <c:ptCount val="2"/>
                <c:pt idx="0">
                  <c:v>2130</c:v>
                </c:pt>
                <c:pt idx="1">
                  <c:v>2130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965120"/>
        <c:axId val="198975488"/>
      </c:scatterChart>
      <c:valAx>
        <c:axId val="198965120"/>
        <c:scaling>
          <c:orientation val="minMax"/>
          <c:max val="94"/>
          <c:min val="81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Center of Gravity Location - Inches Aft of Datum</a:t>
                </a:r>
              </a:p>
            </c:rich>
          </c:tx>
          <c:layout>
            <c:manualLayout>
              <c:xMode val="edge"/>
              <c:yMode val="edge"/>
              <c:x val="0.15735294117647058"/>
              <c:y val="0.947370262927660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975488"/>
        <c:crossesAt val="1500"/>
        <c:crossBetween val="midCat"/>
        <c:majorUnit val="1"/>
        <c:minorUnit val="1"/>
      </c:valAx>
      <c:valAx>
        <c:axId val="198975488"/>
        <c:scaling>
          <c:orientation val="minMax"/>
          <c:max val="2700"/>
          <c:min val="15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7.3529411764705881E-3"/>
              <c:y val="0.3274859940753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965120"/>
        <c:crosses val="autoZero"/>
        <c:crossBetween val="midCat"/>
        <c:majorUnit val="100"/>
        <c:minorUnit val="2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03248251686662"/>
          <c:y val="0.52728432668544167"/>
          <c:w val="0.21764705882352942"/>
          <c:h val="0.19688150092349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733423</xdr:colOff>
      <xdr:row>22</xdr:row>
      <xdr:rowOff>85725</xdr:rowOff>
    </xdr:from>
    <xdr:to>
      <xdr:col>13</xdr:col>
      <xdr:colOff>247649</xdr:colOff>
      <xdr:row>54</xdr:row>
      <xdr:rowOff>123825</xdr:rowOff>
    </xdr:to>
    <xdr:graphicFrame macro="">
      <xdr:nvGraphicFramePr>
        <xdr:cNvPr id="30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0.10095</cdr:x>
      <cdr:y>0.05998</cdr:y>
    </cdr:from>
    <cdr:to>
      <cdr:x>0.68105</cdr:x>
      <cdr:y>0.11048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971" y="296831"/>
          <a:ext cx="3762863" cy="247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Center of Gravity Limits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45"/>
  <sheetViews>
    <sheetView showGridLines="0" showRowColHeaders="0" tabSelected="1" zoomScaleNormal="100" workbookViewId="0">
      <selection activeCell="D11" sqref="D11"/>
    </sheetView>
  </sheetViews>
  <sheetFormatPr defaultRowHeight="12.75" x14ac:dyDescent="0.2"/>
  <cols>
    <col min="1" max="1" width="9.140625" style="1"/>
    <col min="2" max="2" width="25.7109375" style="1" customWidth="1"/>
    <col min="3" max="3" width="5.7109375" style="1" customWidth="1"/>
    <col min="4" max="5" width="7.7109375" style="1" customWidth="1"/>
    <col min="6" max="6" width="9" style="1" customWidth="1"/>
    <col min="7" max="7" width="5.7109375" style="1" customWidth="1"/>
    <col min="8" max="8" width="10.7109375" style="1" customWidth="1"/>
    <col min="9" max="10" width="9.140625" style="1"/>
    <col min="11" max="12" width="8.7109375" style="1" customWidth="1"/>
    <col min="13" max="13" width="14.7109375" style="1" customWidth="1"/>
    <col min="14" max="26" width="9.140625" style="1"/>
    <col min="27" max="27" width="10.7109375" style="1" customWidth="1"/>
    <col min="28" max="28" width="13.28515625" style="1" bestFit="1" customWidth="1"/>
    <col min="29" max="16384" width="9.140625" style="1"/>
  </cols>
  <sheetData>
    <row r="1" spans="1:30" x14ac:dyDescent="0.2">
      <c r="A1" s="49" t="s">
        <v>39</v>
      </c>
    </row>
    <row r="2" spans="1:30" x14ac:dyDescent="0.2">
      <c r="A2" s="50" t="s">
        <v>41</v>
      </c>
    </row>
    <row r="4" spans="1:30" ht="18" x14ac:dyDescent="0.2">
      <c r="B4" s="60" t="s">
        <v>37</v>
      </c>
      <c r="C4" s="60"/>
      <c r="D4" s="60"/>
      <c r="E4" s="60"/>
      <c r="F4" s="60"/>
      <c r="G4" s="60"/>
      <c r="H4" s="60"/>
      <c r="I4" s="54"/>
      <c r="J4" s="54"/>
      <c r="K4" s="54"/>
      <c r="L4" s="54"/>
      <c r="M4" s="54"/>
    </row>
    <row r="5" spans="1:30" x14ac:dyDescent="0.2">
      <c r="B5" s="70" t="s">
        <v>38</v>
      </c>
      <c r="C5" s="70"/>
      <c r="D5" s="70"/>
      <c r="E5" s="70"/>
      <c r="F5" s="70"/>
      <c r="G5" s="70"/>
      <c r="H5" s="70"/>
      <c r="I5" s="54"/>
      <c r="J5" s="54"/>
      <c r="K5" s="54"/>
      <c r="L5" s="54"/>
      <c r="M5" s="54"/>
    </row>
    <row r="6" spans="1:30" ht="30" customHeight="1" x14ac:dyDescent="0.2">
      <c r="B6" s="9"/>
      <c r="C6" s="9"/>
      <c r="D6" s="9"/>
      <c r="E6" s="9"/>
      <c r="F6" s="9"/>
      <c r="G6" s="9"/>
      <c r="H6" s="9"/>
      <c r="I6" s="35"/>
      <c r="J6" s="35"/>
      <c r="K6" s="35"/>
      <c r="L6" s="35"/>
      <c r="M6" s="35"/>
    </row>
    <row r="7" spans="1:30" ht="30" customHeight="1" thickBot="1" x14ac:dyDescent="0.25">
      <c r="B7" s="71" t="s">
        <v>27</v>
      </c>
      <c r="C7" s="71"/>
      <c r="D7" s="71"/>
      <c r="E7" s="71"/>
      <c r="F7" s="71"/>
      <c r="G7" s="9"/>
      <c r="H7" s="72" t="s">
        <v>32</v>
      </c>
      <c r="I7" s="72"/>
      <c r="J7" s="72"/>
      <c r="K7" s="72"/>
      <c r="L7" s="72"/>
      <c r="M7" s="72"/>
      <c r="Z7" s="13"/>
      <c r="AA7" s="13"/>
      <c r="AB7" s="13"/>
      <c r="AC7" s="13"/>
      <c r="AD7" s="13"/>
    </row>
    <row r="8" spans="1:30" ht="17.100000000000001" customHeight="1" thickTop="1" x14ac:dyDescent="0.2">
      <c r="B8" s="61"/>
      <c r="C8" s="62"/>
      <c r="D8" s="64" t="s">
        <v>11</v>
      </c>
      <c r="E8" s="66" t="s">
        <v>10</v>
      </c>
      <c r="F8" s="68" t="s">
        <v>9</v>
      </c>
      <c r="G8" s="9"/>
      <c r="H8" s="53" t="s">
        <v>33</v>
      </c>
      <c r="I8" s="59"/>
      <c r="J8" s="59"/>
      <c r="K8" s="59"/>
      <c r="M8" s="48">
        <v>10</v>
      </c>
      <c r="Z8" s="13"/>
      <c r="AA8" s="13"/>
      <c r="AB8" s="13"/>
      <c r="AC8" s="13"/>
      <c r="AD8" s="13"/>
    </row>
    <row r="9" spans="1:30" ht="17.100000000000001" customHeight="1" thickBot="1" x14ac:dyDescent="0.25">
      <c r="B9" s="63"/>
      <c r="C9" s="52"/>
      <c r="D9" s="65"/>
      <c r="E9" s="67"/>
      <c r="F9" s="69"/>
      <c r="H9" s="53" t="s">
        <v>34</v>
      </c>
      <c r="I9" s="59"/>
      <c r="J9" s="59"/>
      <c r="K9" s="59"/>
      <c r="M9" s="48">
        <v>2</v>
      </c>
      <c r="Z9" s="13"/>
      <c r="AA9" s="19" t="s">
        <v>19</v>
      </c>
      <c r="AB9" s="19" t="s">
        <v>20</v>
      </c>
      <c r="AC9" s="13"/>
      <c r="AD9" s="13"/>
    </row>
    <row r="10" spans="1:30" ht="13.5" thickTop="1" x14ac:dyDescent="0.2">
      <c r="B10" s="2" t="s">
        <v>0</v>
      </c>
      <c r="C10" s="3"/>
      <c r="D10" s="36">
        <v>1749.9</v>
      </c>
      <c r="E10" s="37">
        <v>87.77</v>
      </c>
      <c r="F10" s="38">
        <v>153584</v>
      </c>
      <c r="H10" s="53" t="s">
        <v>36</v>
      </c>
      <c r="I10" s="59"/>
      <c r="J10" s="59"/>
      <c r="K10" s="59"/>
      <c r="M10" s="24">
        <f>IF(UsableFuel=0,0,IF(FuelConsumption&gt;0,(UsableFuel-(FuelConsumption*0.75))/FuelConsumption,0))</f>
        <v>4.05</v>
      </c>
      <c r="Z10" s="57" t="s">
        <v>16</v>
      </c>
      <c r="AA10" s="18">
        <v>82</v>
      </c>
      <c r="AB10" s="20">
        <v>1200</v>
      </c>
      <c r="AC10" s="13"/>
      <c r="AD10" s="13"/>
    </row>
    <row r="11" spans="1:30" x14ac:dyDescent="0.2">
      <c r="B11" s="4" t="s">
        <v>1</v>
      </c>
      <c r="C11" s="5"/>
      <c r="D11" s="45">
        <v>170</v>
      </c>
      <c r="E11" s="39">
        <v>80.5</v>
      </c>
      <c r="F11" s="40">
        <f t="shared" ref="F11:F16" si="0">IF(TRIM(D11)="",0,PRODUCT(D11:E11))</f>
        <v>13685</v>
      </c>
      <c r="Z11" s="58"/>
      <c r="AA11" s="18">
        <v>82</v>
      </c>
      <c r="AB11" s="20">
        <v>2050</v>
      </c>
      <c r="AC11" s="13"/>
      <c r="AD11" s="13"/>
    </row>
    <row r="12" spans="1:30" x14ac:dyDescent="0.2">
      <c r="B12" s="4" t="s">
        <v>2</v>
      </c>
      <c r="C12" s="5"/>
      <c r="D12" s="45">
        <v>170</v>
      </c>
      <c r="E12" s="39">
        <v>80.5</v>
      </c>
      <c r="F12" s="40">
        <f t="shared" si="0"/>
        <v>13685</v>
      </c>
      <c r="K12" s="51" t="s">
        <v>21</v>
      </c>
      <c r="L12" s="51" t="s">
        <v>25</v>
      </c>
      <c r="M12" s="51" t="s">
        <v>31</v>
      </c>
      <c r="Z12" s="58"/>
      <c r="AA12" s="18">
        <v>88.3</v>
      </c>
      <c r="AB12" s="20">
        <v>2550</v>
      </c>
      <c r="AC12" s="13"/>
      <c r="AD12" s="13"/>
    </row>
    <row r="13" spans="1:30" ht="13.5" customHeight="1" thickBot="1" x14ac:dyDescent="0.25">
      <c r="B13" s="4" t="s">
        <v>3</v>
      </c>
      <c r="C13" s="5"/>
      <c r="D13" s="45">
        <v>100</v>
      </c>
      <c r="E13" s="39">
        <v>118.1</v>
      </c>
      <c r="F13" s="40">
        <f t="shared" si="0"/>
        <v>11810</v>
      </c>
      <c r="K13" s="52"/>
      <c r="L13" s="52"/>
      <c r="M13" s="52"/>
      <c r="Z13" s="58"/>
      <c r="AA13" s="18">
        <v>93</v>
      </c>
      <c r="AB13" s="20">
        <v>2550</v>
      </c>
      <c r="AC13" s="13"/>
      <c r="AD13" s="13"/>
    </row>
    <row r="14" spans="1:30" ht="13.5" thickTop="1" x14ac:dyDescent="0.2">
      <c r="B14" s="4" t="s">
        <v>4</v>
      </c>
      <c r="C14" s="5"/>
      <c r="D14" s="45">
        <v>0</v>
      </c>
      <c r="E14" s="39">
        <v>118.1</v>
      </c>
      <c r="F14" s="40">
        <f t="shared" si="0"/>
        <v>0</v>
      </c>
      <c r="H14" s="53" t="s">
        <v>28</v>
      </c>
      <c r="I14" s="53"/>
      <c r="J14" s="53"/>
      <c r="K14" s="23">
        <v>0</v>
      </c>
      <c r="L14" s="23">
        <f>IF(AND(FuelConsumption&gt;0,TripLength&gt;0),FuelConsumption*TripLength,"")</f>
        <v>20</v>
      </c>
      <c r="M14" s="23">
        <f>IF(FuelConsumption&gt;0,FuelConsumption*MaxTripLength,"")</f>
        <v>40.5</v>
      </c>
      <c r="N14" s="24"/>
      <c r="P14" s="24"/>
      <c r="Z14" s="58"/>
      <c r="AA14" s="18">
        <v>93</v>
      </c>
      <c r="AB14" s="20">
        <v>1200</v>
      </c>
      <c r="AC14" s="13"/>
      <c r="AD14" s="13"/>
    </row>
    <row r="15" spans="1:30" x14ac:dyDescent="0.2">
      <c r="B15" s="2" t="s">
        <v>7</v>
      </c>
      <c r="C15" s="3"/>
      <c r="D15" s="46">
        <v>20</v>
      </c>
      <c r="E15" s="37">
        <v>142.80000000000001</v>
      </c>
      <c r="F15" s="40">
        <f t="shared" si="0"/>
        <v>2856</v>
      </c>
      <c r="H15" s="53" t="s">
        <v>29</v>
      </c>
      <c r="I15" s="53"/>
      <c r="J15" s="53"/>
      <c r="K15" s="23">
        <f>(UsableFuel)</f>
        <v>48</v>
      </c>
      <c r="L15" s="23">
        <f>IF(TripFuelUsed="","",UsableFuel-TripFuelUsed)</f>
        <v>28</v>
      </c>
      <c r="M15" s="23">
        <f>IF(MaxTripFuelUsed="","",UsableFuel-MaxTripFuelUsed)</f>
        <v>7.5</v>
      </c>
      <c r="N15" s="25"/>
      <c r="Z15" s="57" t="s">
        <v>17</v>
      </c>
      <c r="AA15" s="18">
        <v>83.1</v>
      </c>
      <c r="AB15" s="20">
        <v>2130</v>
      </c>
      <c r="AC15" s="13"/>
      <c r="AD15" s="13"/>
    </row>
    <row r="16" spans="1:30" ht="13.5" thickBot="1" x14ac:dyDescent="0.25">
      <c r="B16" s="6" t="s">
        <v>8</v>
      </c>
      <c r="C16" s="47">
        <v>48</v>
      </c>
      <c r="D16" s="43">
        <f>C16*6</f>
        <v>288</v>
      </c>
      <c r="E16" s="41">
        <v>95</v>
      </c>
      <c r="F16" s="40">
        <f t="shared" si="0"/>
        <v>27360</v>
      </c>
      <c r="H16" s="53" t="s">
        <v>30</v>
      </c>
      <c r="I16" s="53"/>
      <c r="J16" s="53"/>
      <c r="K16" s="23" t="s">
        <v>35</v>
      </c>
      <c r="L16" s="32">
        <f>IF(TripFuelAvail="","",TakeoffWt-(TripFuelUsed*6.02))</f>
        <v>2377.5</v>
      </c>
      <c r="M16" s="32">
        <f>IF(MaxTripFuelAvail="","",TakeoffWt-(MaxTripFuelUsed*6.02))</f>
        <v>2254.09</v>
      </c>
      <c r="Z16" s="58"/>
      <c r="AA16" s="18">
        <v>93</v>
      </c>
      <c r="AB16" s="20">
        <v>2130</v>
      </c>
      <c r="AC16" s="13"/>
      <c r="AD16" s="13"/>
    </row>
    <row r="17" spans="2:30" ht="13.5" thickBot="1" x14ac:dyDescent="0.25">
      <c r="B17" s="73" t="s">
        <v>40</v>
      </c>
      <c r="C17" s="74"/>
      <c r="D17" s="44">
        <f>SUM(D10:D16)</f>
        <v>2497.9</v>
      </c>
      <c r="E17" s="29"/>
      <c r="F17" s="42">
        <f>SUM(F10:F16)</f>
        <v>222980</v>
      </c>
      <c r="H17" s="53" t="s">
        <v>26</v>
      </c>
      <c r="I17" s="54"/>
      <c r="J17" s="54"/>
      <c r="K17" s="31">
        <f>(TakeoffMoment/TakeoffWt)</f>
        <v>89.266984266784092</v>
      </c>
      <c r="L17" s="24">
        <f>IF(OR(TripLength=0,FuelConsumption=0,ISBLANK(MaxTripLength),TripLength&gt;MaxTripLength),"",((TakeoffMoment-(FuelConsumption*TripLength*6.02*FuelArm))/(TakeoffWt-(FuelConsumption*TripLength*6.02))))</f>
        <v>88.976656151419562</v>
      </c>
      <c r="M17" s="24">
        <f>IF(FuelConsumption&gt;0,((TakeoffMoment-(FuelConsumption*MaxTripLength*6.02*FuelArm))/(TakeoffWt-(FuelConsumption*MaxTripLength*6.02))),"")</f>
        <v>88.646881890252814</v>
      </c>
      <c r="Z17" s="13"/>
      <c r="AA17" s="13"/>
      <c r="AB17" s="17"/>
      <c r="AC17" s="13"/>
      <c r="AD17" s="13"/>
    </row>
    <row r="18" spans="2:30" ht="13.5" customHeight="1" thickTop="1" x14ac:dyDescent="0.2">
      <c r="B18" s="75"/>
      <c r="C18" s="75"/>
      <c r="D18" s="75"/>
      <c r="F18" s="28"/>
      <c r="H18" s="53" t="s">
        <v>22</v>
      </c>
      <c r="I18" s="54"/>
      <c r="J18" s="54"/>
      <c r="K18" s="25">
        <f>(IF(TakeoffCG&lt;SlopeEndCG,(Slope*TakeoffCG)+YIntercept,MaxWeight))</f>
        <v>2550</v>
      </c>
      <c r="L18" s="25">
        <f>IF(TripLandingCG="","",IF(TripLandingCG&lt;SlopeEndCG,(Slope*TripLandingCG)+YIntercept,MaxWeight))</f>
        <v>2550</v>
      </c>
      <c r="M18" s="25">
        <f>IF(MaxLandingCG="","",IF(MaxLandingCG&lt;SlopeEndCG,(Slope*MaxLandingCG)+YIntercept,MaxWeight))</f>
        <v>2550</v>
      </c>
      <c r="R18" s="13"/>
      <c r="Z18" s="55" t="s">
        <v>14</v>
      </c>
      <c r="AA18" s="56"/>
      <c r="AB18" s="17">
        <f>MIN(AA10:AA16)</f>
        <v>82</v>
      </c>
      <c r="AC18" s="13"/>
      <c r="AD18" s="13"/>
    </row>
    <row r="19" spans="2:30" ht="13.5" customHeight="1" x14ac:dyDescent="0.2">
      <c r="C19" s="10"/>
      <c r="D19" s="10"/>
      <c r="E19" s="10"/>
      <c r="F19" s="11"/>
      <c r="G19" s="12"/>
      <c r="H19" s="53" t="s">
        <v>23</v>
      </c>
      <c r="I19" s="54"/>
      <c r="J19" s="54"/>
      <c r="K19" s="25">
        <f>(MaxWtAtTO-TakeoffWt)</f>
        <v>52.099999999999909</v>
      </c>
      <c r="L19" s="25">
        <f>IF(MaxWtAfterTrip="","",MaxWtAfterTrip-(TakeoffWt-(FuelConsumption*TripLength*6.02)))</f>
        <v>172.5</v>
      </c>
      <c r="M19" s="25">
        <f>IF(MaxWtAfterMaxTrip="","",MaxWtAfterMaxTrip-(TakeoffWt-(FuelConsumption*MaxTripLength*6.02)))</f>
        <v>295.90999999999985</v>
      </c>
      <c r="R19" s="13"/>
      <c r="Z19" s="55" t="s">
        <v>15</v>
      </c>
      <c r="AA19" s="56"/>
      <c r="AB19" s="17">
        <f>MAX(AB10:AB16)</f>
        <v>2550</v>
      </c>
      <c r="AC19" s="13"/>
      <c r="AD19" s="13"/>
    </row>
    <row r="20" spans="2:30" x14ac:dyDescent="0.2">
      <c r="G20" s="27" t="s">
        <v>5</v>
      </c>
      <c r="H20" s="53" t="s">
        <v>24</v>
      </c>
      <c r="I20" s="54"/>
      <c r="J20" s="54"/>
      <c r="K20" s="26">
        <f>IF(TakeoffWtDelta&lt;&gt;0,TakeoffWtDelta/6.02,0)</f>
        <v>8.6544850498338732</v>
      </c>
      <c r="L20" s="26">
        <f>IF(TripLandingWtDelta="","",(TripLandingWtDelta/6.02))</f>
        <v>28.654485049833887</v>
      </c>
      <c r="M20" s="26">
        <f>IF(MaxTripLandingWtDelta="","",MaxTripLandingWtDelta/6.02)</f>
        <v>49.154485049833866</v>
      </c>
      <c r="Z20" s="55"/>
      <c r="AA20" s="55"/>
      <c r="AB20" s="17"/>
      <c r="AC20" s="13"/>
      <c r="AD20" s="13"/>
    </row>
    <row r="21" spans="2:30" x14ac:dyDescent="0.2">
      <c r="K21" s="23"/>
      <c r="L21" s="23"/>
      <c r="M21" s="23"/>
      <c r="Z21" s="57" t="s">
        <v>18</v>
      </c>
      <c r="AA21" s="17" t="s">
        <v>12</v>
      </c>
      <c r="AB21" s="21">
        <f>((SlopeEndWt-SlopeStartWt)/(SlopeEndCG-SlopeStartCG))</f>
        <v>79.365079365079396</v>
      </c>
      <c r="AC21" s="13"/>
      <c r="AD21" s="13"/>
    </row>
    <row r="22" spans="2:30" ht="15" x14ac:dyDescent="0.2">
      <c r="I22" s="16" t="s">
        <v>6</v>
      </c>
      <c r="J22" s="33"/>
      <c r="K22" s="34" t="str">
        <f>IF(TakeoffWtDelta &gt;=0,"►Yes","►No")</f>
        <v>►Yes</v>
      </c>
      <c r="L22" s="34" t="str">
        <f>IF(TripLandingWtDelta &gt;=0,"►Yes","►No")</f>
        <v>►Yes</v>
      </c>
      <c r="M22" s="34" t="str">
        <f>IF(MaxTripLandingWtDelta &gt;=0,"►Yes","►No")</f>
        <v>►Yes</v>
      </c>
      <c r="Z22" s="58"/>
      <c r="AA22" s="17" t="s">
        <v>13</v>
      </c>
      <c r="AB22" s="21">
        <f>(SlopeStartWt-(Slope*SlopeStartCG))</f>
        <v>-4457.9365079365107</v>
      </c>
      <c r="AC22" s="13"/>
      <c r="AD22" s="13"/>
    </row>
    <row r="23" spans="2:30" x14ac:dyDescent="0.2">
      <c r="Z23" s="55"/>
      <c r="AA23" s="55"/>
      <c r="AC23" s="13"/>
      <c r="AD23" s="13"/>
    </row>
    <row r="25" spans="2:30" x14ac:dyDescent="0.2">
      <c r="G25" s="14"/>
      <c r="H25" s="7"/>
    </row>
    <row r="26" spans="2:30" x14ac:dyDescent="0.2">
      <c r="G26" s="15"/>
      <c r="H26" s="7"/>
    </row>
    <row r="27" spans="2:30" x14ac:dyDescent="0.2">
      <c r="G27" s="8"/>
      <c r="H27" s="7"/>
      <c r="M27" s="22"/>
    </row>
    <row r="37" spans="11:11" x14ac:dyDescent="0.2">
      <c r="K37" s="30"/>
    </row>
    <row r="39" spans="11:11" x14ac:dyDescent="0.2">
      <c r="K39" s="30"/>
    </row>
    <row r="41" spans="11:11" x14ac:dyDescent="0.2">
      <c r="K41" s="30"/>
    </row>
    <row r="43" spans="11:11" x14ac:dyDescent="0.2">
      <c r="K43" s="30"/>
    </row>
    <row r="45" spans="11:11" x14ac:dyDescent="0.2">
      <c r="K45" s="30"/>
    </row>
  </sheetData>
  <sheetProtection algorithmName="SHA-512" hashValue="m7Lyr273tbJ4m8uZSIdxtWo6sT4tYYZlcR3SkYp28IUKG4Fo4xqYCGEWewl0x5+QNl7RO3eVbnzzjKv1HrzvXw==" saltValue="Isc/JGYQ5RgU1BWh/njBDQ==" spinCount="100000" sheet="1" objects="1" scenarios="1" selectLockedCells="1"/>
  <mergeCells count="30">
    <mergeCell ref="H17:J17"/>
    <mergeCell ref="H19:J19"/>
    <mergeCell ref="B4:M4"/>
    <mergeCell ref="B8:C9"/>
    <mergeCell ref="D8:D9"/>
    <mergeCell ref="E8:E9"/>
    <mergeCell ref="F8:F9"/>
    <mergeCell ref="H8:K8"/>
    <mergeCell ref="B5:M5"/>
    <mergeCell ref="B7:F7"/>
    <mergeCell ref="H7:M7"/>
    <mergeCell ref="H9:K9"/>
    <mergeCell ref="B17:C17"/>
    <mergeCell ref="B18:D18"/>
    <mergeCell ref="K12:K13"/>
    <mergeCell ref="H18:J18"/>
    <mergeCell ref="Z23:AA23"/>
    <mergeCell ref="Z18:AA18"/>
    <mergeCell ref="Z19:AA19"/>
    <mergeCell ref="Z10:Z14"/>
    <mergeCell ref="Z15:Z16"/>
    <mergeCell ref="Z21:Z22"/>
    <mergeCell ref="Z20:AA20"/>
    <mergeCell ref="M12:M13"/>
    <mergeCell ref="H20:J20"/>
    <mergeCell ref="H10:K10"/>
    <mergeCell ref="L12:L13"/>
    <mergeCell ref="H14:J14"/>
    <mergeCell ref="H15:J15"/>
    <mergeCell ref="H16:J16"/>
  </mergeCells>
  <phoneticPr fontId="0" type="noConversion"/>
  <conditionalFormatting sqref="K22:M22">
    <cfRule type="cellIs" dxfId="2" priority="1" stopIfTrue="1" operator="equal">
      <formula>"►Yes"</formula>
    </cfRule>
    <cfRule type="cellIs" dxfId="1" priority="2" stopIfTrue="1" operator="equal">
      <formula>"►No"</formula>
    </cfRule>
  </conditionalFormatting>
  <conditionalFormatting sqref="K19:M20 G26:G27">
    <cfRule type="cellIs" dxfId="0" priority="3" stopIfTrue="1" operator="lessThan">
      <formula>0</formula>
    </cfRule>
  </conditionalFormatting>
  <dataValidations count="7">
    <dataValidation type="decimal" showInputMessage="1" showErrorMessage="1" errorTitle="Invalid Fuel Amount" error="The amount of usable fuel must be greater than zero (0) gallons and less than, or equal to, 48 gallons." sqref="C16">
      <formula1>0</formula1>
      <formula2>48</formula2>
    </dataValidation>
    <dataValidation type="decimal" allowBlank="1" showInputMessage="1" showErrorMessage="1" errorTitle="Invalid Baggage Weight" error="The weight of the baggage must be equal to, or greater than, zero (0) and less than, or equal to, two hundred (200)." sqref="D15">
      <formula1>0</formula1>
      <formula2>200</formula2>
    </dataValidation>
    <dataValidation type="decimal" operator="greaterThanOrEqual" allowBlank="1" showInputMessage="1" showErrorMessage="1" errorTitle="Invalide Co-pilot Weight" error="The weight of the pilot must be equal to, or greater than, zero (0)." sqref="D11:D12">
      <formula1>0</formula1>
    </dataValidation>
    <dataValidation type="decimal" operator="greaterThanOrEqual" allowBlank="1" showInputMessage="1" showErrorMessage="1" errorTitle="Invalid Passenger 1 Weight" error="The weight of passenger 1 must be equal to, or greater than, zero (0)." sqref="D13">
      <formula1>0</formula1>
    </dataValidation>
    <dataValidation type="decimal" operator="greaterThanOrEqual" allowBlank="1" showInputMessage="1" showErrorMessage="1" errorTitle="Invalid Passenger 2 Weight" error="The weight of the pilot must be equal to, or greater than, zero (0)." sqref="D14">
      <formula1>0</formula1>
    </dataValidation>
    <dataValidation type="decimal" operator="greaterThanOrEqual" allowBlank="1" showInputMessage="1" showErrorMessage="1" errorTitle="Invalid Est. Fuel Consumpti" error="The estimated fuel consumption must be greater than, or equal to, zero (0) gallons per hour." sqref="M8">
      <formula1>0</formula1>
    </dataValidation>
    <dataValidation type="decimal" showInputMessage="1" showErrorMessage="1" errorTitle="Invalid Trip Length" error="The estimated trip length must be greater than, or equal to, zero (0) hours and less than, or equal to, the Maximum Trip Length, given the current usable fuel." sqref="M9">
      <formula1>0</formula1>
      <formula2>M10</formula2>
    </dataValidation>
  </dataValidations>
  <printOptions horizontalCentered="1" verticalCentered="1"/>
  <pageMargins left="0.75" right="0.75" top="1" bottom="1" header="0.5" footer="0.5"/>
  <pageSetup scale="68" orientation="landscape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</vt:i4>
      </vt:variant>
    </vt:vector>
  </HeadingPairs>
  <TitlesOfParts>
    <vt:vector size="32" baseType="lpstr">
      <vt:lpstr>Piper Archer N2180Y</vt:lpstr>
      <vt:lpstr>FuelArm</vt:lpstr>
      <vt:lpstr>FuelConsumption</vt:lpstr>
      <vt:lpstr>MaxLandingCG</vt:lpstr>
      <vt:lpstr>MaxTripFuelAvail</vt:lpstr>
      <vt:lpstr>MaxTripFuelUsed</vt:lpstr>
      <vt:lpstr>MaxTripLandingWt</vt:lpstr>
      <vt:lpstr>MaxTripLandingWtDelta</vt:lpstr>
      <vt:lpstr>MaxTripLength</vt:lpstr>
      <vt:lpstr>MaxWeight</vt:lpstr>
      <vt:lpstr>MaxWtAfterMaxTrip</vt:lpstr>
      <vt:lpstr>MaxWtAfterTrip</vt:lpstr>
      <vt:lpstr>MaxWtAtTO</vt:lpstr>
      <vt:lpstr>MinCG</vt:lpstr>
      <vt:lpstr>'Piper Archer N2180Y'!Print_Area</vt:lpstr>
      <vt:lpstr>Slope</vt:lpstr>
      <vt:lpstr>SlopeEndCG</vt:lpstr>
      <vt:lpstr>SlopeEndWt</vt:lpstr>
      <vt:lpstr>SlopeStartCG</vt:lpstr>
      <vt:lpstr>SlopeStartWt</vt:lpstr>
      <vt:lpstr>TakeoffCG</vt:lpstr>
      <vt:lpstr>TakeoffMoment</vt:lpstr>
      <vt:lpstr>TakeoffWt</vt:lpstr>
      <vt:lpstr>TakeoffWtDelta</vt:lpstr>
      <vt:lpstr>TripFuelAvail</vt:lpstr>
      <vt:lpstr>TripFuelUsed</vt:lpstr>
      <vt:lpstr>TripLandingCG</vt:lpstr>
      <vt:lpstr>TripLandingWt</vt:lpstr>
      <vt:lpstr>TripLandingWtDelta</vt:lpstr>
      <vt:lpstr>TripLength</vt:lpstr>
      <vt:lpstr>UsableFuel</vt:lpstr>
      <vt:lpstr>YIntercept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Southeastern Minnesota Flying Club Weight and Balance Worksheets</dc:title>
  <dc:creator>Rod Reicks</dc:creator>
  <cp:lastModifiedBy>Julie</cp:lastModifiedBy>
  <cp:lastPrinted>2014-04-08T17:24:45Z</cp:lastPrinted>
  <dcterms:created xsi:type="dcterms:W3CDTF">2002-09-19T19:23:22Z</dcterms:created>
  <dcterms:modified xsi:type="dcterms:W3CDTF">2017-09-04T12:36:33Z</dcterms:modified>
</cp:coreProperties>
</file>